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остановлен\ПОСТАНОВЛЕНИЯ\постановление 2022 год\"/>
    </mc:Choice>
  </mc:AlternateContent>
  <bookViews>
    <workbookView xWindow="0" yWindow="0" windowWidth="24000" windowHeight="9645" activeTab="2"/>
  </bookViews>
  <sheets>
    <sheet name="Гагарина" sheetId="1" r:id="rId1"/>
    <sheet name="Егорова" sheetId="4" r:id="rId2"/>
    <sheet name="Советская" sheetId="5" r:id="rId3"/>
  </sheets>
  <calcPr calcId="162913"/>
</workbook>
</file>

<file path=xl/calcChain.xml><?xml version="1.0" encoding="utf-8"?>
<calcChain xmlns="http://schemas.openxmlformats.org/spreadsheetml/2006/main">
  <c r="C20" i="5" l="1"/>
  <c r="C19" i="5"/>
  <c r="E19" i="5" s="1"/>
  <c r="G19" i="5" s="1"/>
  <c r="C18" i="5"/>
  <c r="E18" i="5" s="1"/>
  <c r="G18" i="5" s="1"/>
  <c r="C17" i="5"/>
  <c r="E17" i="5" s="1"/>
  <c r="G17" i="5" s="1"/>
  <c r="C16" i="5"/>
  <c r="E16" i="5" s="1"/>
  <c r="G16" i="5" s="1"/>
  <c r="C15" i="5"/>
  <c r="B20" i="5"/>
  <c r="B19" i="5"/>
  <c r="B18" i="5"/>
  <c r="B17" i="5"/>
  <c r="B16" i="5"/>
  <c r="B15" i="5"/>
  <c r="E20" i="5"/>
  <c r="G20" i="5" s="1"/>
  <c r="C20" i="4"/>
  <c r="C19" i="4"/>
  <c r="E19" i="4" s="1"/>
  <c r="G19" i="4" s="1"/>
  <c r="C18" i="4"/>
  <c r="E18" i="4" s="1"/>
  <c r="G18" i="4" s="1"/>
  <c r="C17" i="4"/>
  <c r="E17" i="4" s="1"/>
  <c r="G17" i="4" s="1"/>
  <c r="C16" i="4"/>
  <c r="E16" i="4" s="1"/>
  <c r="G16" i="4" s="1"/>
  <c r="C15" i="4"/>
  <c r="C21" i="4" s="1"/>
  <c r="C22" i="4" s="1"/>
  <c r="B20" i="4"/>
  <c r="B19" i="4"/>
  <c r="B18" i="4"/>
  <c r="B17" i="4"/>
  <c r="B16" i="4"/>
  <c r="B15" i="4"/>
  <c r="E20" i="4"/>
  <c r="G20" i="4" s="1"/>
  <c r="E20" i="1"/>
  <c r="G20" i="1" s="1"/>
  <c r="E18" i="1"/>
  <c r="G18" i="1" s="1"/>
  <c r="E16" i="1"/>
  <c r="G16" i="1" s="1"/>
  <c r="C20" i="1"/>
  <c r="C19" i="1"/>
  <c r="E19" i="1" s="1"/>
  <c r="G19" i="1" s="1"/>
  <c r="C18" i="1"/>
  <c r="C17" i="1"/>
  <c r="E17" i="1" s="1"/>
  <c r="G17" i="1" s="1"/>
  <c r="C16" i="1"/>
  <c r="C15" i="1"/>
  <c r="E15" i="1" s="1"/>
  <c r="B20" i="1"/>
  <c r="B19" i="1"/>
  <c r="B18" i="1"/>
  <c r="B17" i="1"/>
  <c r="B16" i="1"/>
  <c r="B15" i="1"/>
  <c r="B21" i="1" s="1"/>
  <c r="B23" i="1" l="1"/>
  <c r="B22" i="1"/>
  <c r="G15" i="1"/>
  <c r="G21" i="1" s="1"/>
  <c r="E21" i="1"/>
  <c r="C21" i="1"/>
  <c r="C22" i="1" s="1"/>
  <c r="C21" i="5"/>
  <c r="C22" i="5" s="1"/>
  <c r="E15" i="5"/>
  <c r="E21" i="5" s="1"/>
  <c r="E22" i="5" s="1"/>
  <c r="E23" i="5" s="1"/>
  <c r="B21" i="5"/>
  <c r="B22" i="5" s="1"/>
  <c r="B23" i="5" s="1"/>
  <c r="G15" i="5"/>
  <c r="G21" i="5" s="1"/>
  <c r="E15" i="4"/>
  <c r="G15" i="4" s="1"/>
  <c r="G21" i="4" s="1"/>
  <c r="B21" i="4"/>
  <c r="B22" i="4" s="1"/>
  <c r="B23" i="4" s="1"/>
  <c r="G22" i="1" l="1"/>
  <c r="G23" i="1" s="1"/>
  <c r="C23" i="1"/>
  <c r="E23" i="1"/>
  <c r="E22" i="1"/>
  <c r="G22" i="5"/>
  <c r="G23" i="5" s="1"/>
  <c r="C23" i="5"/>
  <c r="C23" i="4"/>
  <c r="E21" i="4"/>
  <c r="E22" i="4" s="1"/>
  <c r="G22" i="4"/>
  <c r="G23" i="4" s="1"/>
  <c r="E23" i="4" l="1"/>
</calcChain>
</file>

<file path=xl/sharedStrings.xml><?xml version="1.0" encoding="utf-8"?>
<sst xmlns="http://schemas.openxmlformats.org/spreadsheetml/2006/main" count="126" uniqueCount="42">
  <si>
    <t>Расчет начальной (максимальной) цены контракта</t>
  </si>
  <si>
    <t>при осуществлении закупок на выполнение подрядных работ</t>
  </si>
  <si>
    <t>Основания для расчета:</t>
  </si>
  <si>
    <t>2. Заключение государственной экспертизы от _____ г. N _____</t>
  </si>
  <si>
    <t>(руб.)</t>
  </si>
  <si>
    <t>Наименование работ и затрат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</si>
  <si>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</si>
  <si>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</si>
  <si>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без учета НДС (при наличии)</t>
  </si>
  <si>
    <t>Стоимость с учетом НДС (при наличии)</t>
  </si>
  <si>
    <t>Стоимость работ в ценах на дату утверждения сметной документации на I квартал 2000г.</t>
  </si>
  <si>
    <t>Стоимость работ в ценах на дату формирования начальной (максимальной) цены контракта II квартал 2022г.</t>
  </si>
  <si>
    <t>по строительству объекта:</t>
  </si>
  <si>
    <t>Подготовка территории строительства</t>
  </si>
  <si>
    <t>Стоимость работ в ценах на дату формирования начальной (максимальной) цены контракта 4 квартал 2021г.</t>
  </si>
  <si>
    <t>Основные объекты строительства</t>
  </si>
  <si>
    <t>Временные здания и сооружения</t>
  </si>
  <si>
    <t>Содержание службы заказчика. Строительный контроль</t>
  </si>
  <si>
    <t>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</si>
  <si>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Непредвиденные затраты</t>
  </si>
  <si>
    <t>1. Акт об утверждении проектной документации, включая сводный сметный расчет стоимости строительства объекта, от _____ г. N _____</t>
  </si>
  <si>
    <t>3. Утвержденный сводный сметный расчет, либо утвержденный локальный сметный расчет.</t>
  </si>
  <si>
    <t>Дата составления сметы</t>
  </si>
  <si>
    <t>01.01.2000 г.</t>
  </si>
  <si>
    <t>4 кв. 2021г.</t>
  </si>
  <si>
    <t>НДС (20 %)</t>
  </si>
  <si>
    <t>«Капитальный ремонт автомобильной дороги по ул. Гагарина (протяженность не более 550 м), в с. Ново-Николаевск, Эхирит-Булагатский район, Иркутской области»</t>
  </si>
  <si>
    <t xml:space="preserve">Продолжительность строительства </t>
  </si>
  <si>
    <t>75 дней (2,5 месяца)</t>
  </si>
  <si>
    <t xml:space="preserve">Начало строительства </t>
  </si>
  <si>
    <t>II кв. 2023г.</t>
  </si>
  <si>
    <t>Окончание строительства</t>
  </si>
  <si>
    <t>Уровень цен утвержденной сметы</t>
  </si>
  <si>
    <t>на 2022 год</t>
  </si>
  <si>
    <t>на 2023 год</t>
  </si>
  <si>
    <t>Дата формирования НМЦК</t>
  </si>
  <si>
    <t>Годовые индексы прогнозной инфляции:</t>
  </si>
  <si>
    <t>Расчет прогнозного индекса инфляции</t>
  </si>
  <si>
    <t>Глава МО "Ново-Николаевское"</t>
  </si>
  <si>
    <t>Л.Б. Бахаева</t>
  </si>
  <si>
    <t>«Капитальный ремонт автомобильной дороги по ул. Егорова (протяженность не более 250 м), в с. Ново-Николаевск, Эхирит-Булагатский район, Иркутской области»</t>
  </si>
  <si>
    <t>«Капитальный ремонт автомобильной дороги по ул. Советская (протяженность не более 800 м), в с. Ново-Николаевск, Эхирит-Булагатский район, Иркутской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</si>
</sst>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7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I23" sqref="I23"/>
    </sheetView>
  </sheetViews>
  <sheetFormatPr defaultRowHeight="15" x14ac:dyDescent="0.25"/>
  <cols>
    <col min="1" max="1" width="47.7109375" customWidth="1"/>
    <col min="2" max="3" width="17" customWidth="1"/>
    <col min="4" max="4" width="14.42578125" customWidth="1"/>
    <col min="5" max="5" width="17" customWidth="1"/>
    <col min="6" max="6" width="13.7109375" customWidth="1"/>
    <col min="7" max="7" width="17" customWidth="1"/>
  </cols>
  <sheetData>
    <row r="1" spans="1:7" ht="28.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8.75" x14ac:dyDescent="0.3">
      <c r="A2" s="24" t="s">
        <v>1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12</v>
      </c>
      <c r="B3" s="24"/>
      <c r="C3" s="24"/>
      <c r="D3" s="24"/>
      <c r="E3" s="24"/>
      <c r="F3" s="24"/>
      <c r="G3" s="24"/>
    </row>
    <row r="4" spans="1:7" ht="62.25" customHeight="1" x14ac:dyDescent="0.25">
      <c r="A4" s="25" t="s">
        <v>26</v>
      </c>
      <c r="B4" s="23"/>
      <c r="C4" s="23"/>
      <c r="D4" s="23"/>
      <c r="E4" s="23"/>
      <c r="F4" s="23"/>
      <c r="G4" s="23"/>
    </row>
    <row r="5" spans="1:7" ht="18.75" x14ac:dyDescent="0.3">
      <c r="A5" s="3"/>
      <c r="B5" s="4"/>
      <c r="C5" s="4"/>
      <c r="D5" s="4"/>
      <c r="E5" s="4"/>
      <c r="F5" s="4"/>
      <c r="G5" s="4"/>
    </row>
    <row r="6" spans="1:7" ht="18.75" x14ac:dyDescent="0.3">
      <c r="A6" s="3" t="s">
        <v>2</v>
      </c>
      <c r="B6" s="4"/>
      <c r="C6" s="4"/>
      <c r="D6" s="4"/>
      <c r="E6" s="4"/>
      <c r="F6" s="4"/>
      <c r="G6" s="4"/>
    </row>
    <row r="7" spans="1:7" ht="45.75" customHeight="1" x14ac:dyDescent="0.25">
      <c r="A7" s="26" t="s">
        <v>20</v>
      </c>
      <c r="B7" s="26"/>
      <c r="C7" s="26"/>
      <c r="D7" s="26"/>
      <c r="E7" s="26"/>
      <c r="F7" s="26"/>
      <c r="G7" s="26"/>
    </row>
    <row r="8" spans="1:7" ht="18.75" x14ac:dyDescent="0.3">
      <c r="A8" s="3" t="s">
        <v>3</v>
      </c>
      <c r="B8" s="4"/>
      <c r="C8" s="4"/>
      <c r="D8" s="4"/>
      <c r="E8" s="4"/>
      <c r="F8" s="4"/>
      <c r="G8" s="4"/>
    </row>
    <row r="9" spans="1:7" ht="18.75" x14ac:dyDescent="0.3">
      <c r="A9" s="3" t="s">
        <v>21</v>
      </c>
      <c r="B9" s="4"/>
      <c r="C9" s="4"/>
      <c r="D9" s="4"/>
      <c r="E9" s="4"/>
      <c r="F9" s="4"/>
      <c r="G9" s="4"/>
    </row>
    <row r="10" spans="1:7" ht="18.75" x14ac:dyDescent="0.3">
      <c r="B10" s="4"/>
      <c r="C10" s="4"/>
      <c r="D10" s="4"/>
      <c r="E10" s="4"/>
      <c r="F10" s="4"/>
      <c r="G10" s="4"/>
    </row>
    <row r="11" spans="1:7" ht="15.75" x14ac:dyDescent="0.25">
      <c r="A11" s="1" t="s">
        <v>22</v>
      </c>
      <c r="B11" s="9" t="s">
        <v>23</v>
      </c>
      <c r="C11" s="9" t="s">
        <v>24</v>
      </c>
      <c r="D11" s="8"/>
      <c r="E11" s="8"/>
      <c r="F11" s="8"/>
      <c r="G11" s="19" t="s">
        <v>4</v>
      </c>
    </row>
    <row r="12" spans="1:7" s="5" customFormat="1" ht="171.75" customHeight="1" x14ac:dyDescent="0.25">
      <c r="A12" s="7" t="s">
        <v>5</v>
      </c>
      <c r="B12" s="7" t="s">
        <v>10</v>
      </c>
      <c r="C12" s="7" t="s">
        <v>14</v>
      </c>
      <c r="D12" s="7" t="s">
        <v>6</v>
      </c>
      <c r="E12" s="7" t="s">
        <v>11</v>
      </c>
      <c r="F12" s="7" t="s">
        <v>6</v>
      </c>
      <c r="G12" s="7" t="s">
        <v>7</v>
      </c>
    </row>
    <row r="13" spans="1:7" s="5" customFormat="1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</row>
    <row r="14" spans="1:7" s="5" customFormat="1" ht="15.75" x14ac:dyDescent="0.25">
      <c r="A14" s="20"/>
      <c r="B14" s="20"/>
      <c r="C14" s="20"/>
      <c r="D14" s="20"/>
      <c r="E14" s="20"/>
      <c r="F14" s="20"/>
      <c r="G14" s="20"/>
    </row>
    <row r="15" spans="1:7" s="5" customFormat="1" ht="15.75" x14ac:dyDescent="0.25">
      <c r="A15" s="6" t="s">
        <v>13</v>
      </c>
      <c r="B15" s="10">
        <f>26.74*1000</f>
        <v>26740</v>
      </c>
      <c r="C15" s="10">
        <f>256.67*1000</f>
        <v>256670.00000000003</v>
      </c>
      <c r="D15" s="6">
        <v>1.04</v>
      </c>
      <c r="E15" s="6">
        <f>C15*D15</f>
        <v>266936.80000000005</v>
      </c>
      <c r="F15" s="6">
        <v>1.0549999999999999</v>
      </c>
      <c r="G15" s="6">
        <f>E15*F15</f>
        <v>281618.32400000002</v>
      </c>
    </row>
    <row r="16" spans="1:7" s="5" customFormat="1" ht="15.75" x14ac:dyDescent="0.25">
      <c r="A16" s="6" t="s">
        <v>15</v>
      </c>
      <c r="B16" s="10">
        <f>2117.42*1000</f>
        <v>2117420</v>
      </c>
      <c r="C16" s="10">
        <f>20327.25*1000</f>
        <v>20327250</v>
      </c>
      <c r="D16" s="6">
        <v>1.04</v>
      </c>
      <c r="E16" s="6">
        <f t="shared" ref="E16:E19" si="0">C16*D16</f>
        <v>21140340</v>
      </c>
      <c r="F16" s="6">
        <v>1.0549999999999999</v>
      </c>
      <c r="G16" s="6">
        <f t="shared" ref="G16:G20" si="1">E16*F16</f>
        <v>22303058.699999999</v>
      </c>
    </row>
    <row r="17" spans="1:7" s="5" customFormat="1" ht="15.75" x14ac:dyDescent="0.25">
      <c r="A17" s="6" t="s">
        <v>16</v>
      </c>
      <c r="B17" s="10">
        <f>30.02*1000</f>
        <v>30020</v>
      </c>
      <c r="C17" s="10">
        <f>288.17*1000</f>
        <v>288170</v>
      </c>
      <c r="D17" s="6">
        <v>1.04</v>
      </c>
      <c r="E17" s="6">
        <f t="shared" si="0"/>
        <v>299696.8</v>
      </c>
      <c r="F17" s="6">
        <v>1.0549999999999999</v>
      </c>
      <c r="G17" s="6">
        <f t="shared" si="1"/>
        <v>316180.12399999995</v>
      </c>
    </row>
    <row r="18" spans="1:7" s="5" customFormat="1" ht="31.5" x14ac:dyDescent="0.25">
      <c r="A18" s="6" t="s">
        <v>17</v>
      </c>
      <c r="B18" s="10">
        <f>46.53*1000</f>
        <v>46530</v>
      </c>
      <c r="C18" s="10">
        <f>446.66*1000</f>
        <v>446660</v>
      </c>
      <c r="D18" s="6">
        <v>1.04</v>
      </c>
      <c r="E18" s="6">
        <f t="shared" si="0"/>
        <v>464526.4</v>
      </c>
      <c r="F18" s="6">
        <v>1.0549999999999999</v>
      </c>
      <c r="G18" s="6">
        <f t="shared" si="1"/>
        <v>490075.35200000001</v>
      </c>
    </row>
    <row r="19" spans="1:7" s="5" customFormat="1" ht="220.5" x14ac:dyDescent="0.25">
      <c r="A19" s="6" t="s">
        <v>18</v>
      </c>
      <c r="B19" s="10">
        <f>17.54*1000</f>
        <v>17540</v>
      </c>
      <c r="C19" s="10">
        <f>75.79*1000</f>
        <v>75790</v>
      </c>
      <c r="D19" s="6">
        <v>1.04</v>
      </c>
      <c r="E19" s="6">
        <f t="shared" si="0"/>
        <v>78821.600000000006</v>
      </c>
      <c r="F19" s="6">
        <v>1.0549999999999999</v>
      </c>
      <c r="G19" s="6">
        <f t="shared" si="1"/>
        <v>83156.788</v>
      </c>
    </row>
    <row r="20" spans="1:7" s="5" customFormat="1" ht="15.75" x14ac:dyDescent="0.25">
      <c r="A20" s="6" t="s">
        <v>19</v>
      </c>
      <c r="B20" s="10">
        <f>44.76*1000</f>
        <v>44760</v>
      </c>
      <c r="C20" s="10">
        <f>427.89*1000</f>
        <v>427890</v>
      </c>
      <c r="D20" s="6">
        <v>1.04</v>
      </c>
      <c r="E20" s="6">
        <f t="shared" ref="E20" si="2">C20*D20</f>
        <v>445005.60000000003</v>
      </c>
      <c r="F20" s="6">
        <v>1.0549999999999999</v>
      </c>
      <c r="G20" s="6">
        <f t="shared" si="1"/>
        <v>469480.908</v>
      </c>
    </row>
    <row r="21" spans="1:7" s="5" customFormat="1" ht="15.75" x14ac:dyDescent="0.25">
      <c r="A21" s="6" t="s">
        <v>8</v>
      </c>
      <c r="B21" s="10">
        <f>SUM(B15:B20)</f>
        <v>2283010</v>
      </c>
      <c r="C21" s="10">
        <f>SUM(C15:C20)</f>
        <v>21822430</v>
      </c>
      <c r="D21" s="6"/>
      <c r="E21" s="10">
        <f>SUM(E15:E20)</f>
        <v>22695327.200000003</v>
      </c>
      <c r="F21" s="6"/>
      <c r="G21" s="10">
        <f>SUM(G15:G20)</f>
        <v>23943570.196000002</v>
      </c>
    </row>
    <row r="22" spans="1:7" s="5" customFormat="1" ht="15.75" x14ac:dyDescent="0.25">
      <c r="A22" s="6" t="s">
        <v>25</v>
      </c>
      <c r="B22" s="10">
        <f>B21*20/100</f>
        <v>456602</v>
      </c>
      <c r="C22" s="10">
        <f>C21*20/100-15156</f>
        <v>4349330</v>
      </c>
      <c r="D22" s="6"/>
      <c r="E22" s="10">
        <f>E21*20/100</f>
        <v>4539065.4400000004</v>
      </c>
      <c r="F22" s="6"/>
      <c r="G22" s="10">
        <f>G21*20/100</f>
        <v>4788714.0392000005</v>
      </c>
    </row>
    <row r="23" spans="1:7" s="5" customFormat="1" ht="15.75" x14ac:dyDescent="0.25">
      <c r="A23" s="6" t="s">
        <v>9</v>
      </c>
      <c r="B23" s="10">
        <f>SUM(B21:B22)</f>
        <v>2739612</v>
      </c>
      <c r="C23" s="10">
        <f>SUM(C21:C22)</f>
        <v>26171760</v>
      </c>
      <c r="D23" s="6"/>
      <c r="E23" s="10">
        <f>SUM(E21:E22)</f>
        <v>27234392.640000004</v>
      </c>
      <c r="F23" s="6"/>
      <c r="G23" s="10">
        <f>SUM(G21:G22)</f>
        <v>28732284.235200003</v>
      </c>
    </row>
    <row r="24" spans="1:7" s="5" customFormat="1" ht="15.75" x14ac:dyDescent="0.25">
      <c r="A24" s="11"/>
      <c r="B24" s="12"/>
      <c r="C24" s="12"/>
      <c r="D24" s="11"/>
      <c r="E24" s="12"/>
      <c r="F24" s="11"/>
      <c r="G24" s="12"/>
    </row>
    <row r="25" spans="1:7" s="5" customFormat="1" ht="23.25" customHeight="1" x14ac:dyDescent="0.25">
      <c r="A25" s="21" t="s">
        <v>32</v>
      </c>
      <c r="B25" s="21"/>
      <c r="C25" s="15">
        <v>43831</v>
      </c>
      <c r="D25" s="11"/>
      <c r="E25" s="12"/>
      <c r="F25" s="11"/>
      <c r="G25" s="12"/>
    </row>
    <row r="26" spans="1:7" s="5" customFormat="1" ht="23.25" customHeight="1" x14ac:dyDescent="0.25">
      <c r="A26" s="14" t="s">
        <v>35</v>
      </c>
      <c r="B26" s="14"/>
      <c r="C26" s="16">
        <v>44652</v>
      </c>
      <c r="D26" s="11"/>
      <c r="E26" s="12"/>
      <c r="F26" s="11"/>
      <c r="G26" s="12"/>
    </row>
    <row r="27" spans="1:7" s="5" customFormat="1" ht="23.25" customHeight="1" x14ac:dyDescent="0.25">
      <c r="A27" s="27" t="s">
        <v>27</v>
      </c>
      <c r="B27" s="27"/>
      <c r="C27" s="21" t="s">
        <v>28</v>
      </c>
      <c r="D27" s="21"/>
      <c r="E27" s="2"/>
      <c r="F27" s="2"/>
      <c r="G27" s="2"/>
    </row>
    <row r="28" spans="1:7" s="5" customFormat="1" ht="23.25" customHeight="1" x14ac:dyDescent="0.25">
      <c r="A28" s="27" t="s">
        <v>29</v>
      </c>
      <c r="B28" s="27"/>
      <c r="C28" s="21" t="s">
        <v>30</v>
      </c>
      <c r="D28" s="21"/>
      <c r="E28" s="2"/>
      <c r="F28" s="2"/>
      <c r="G28" s="2"/>
    </row>
    <row r="29" spans="1:7" s="5" customFormat="1" ht="23.25" customHeight="1" x14ac:dyDescent="0.25">
      <c r="A29" s="27" t="s">
        <v>31</v>
      </c>
      <c r="B29" s="27"/>
      <c r="C29" s="21" t="s">
        <v>30</v>
      </c>
      <c r="D29" s="21"/>
      <c r="E29" s="2"/>
      <c r="F29" s="2"/>
      <c r="G29" s="2"/>
    </row>
    <row r="30" spans="1:7" s="5" customFormat="1" ht="23.25" customHeight="1" x14ac:dyDescent="0.25">
      <c r="A30" s="11" t="s">
        <v>37</v>
      </c>
      <c r="B30" s="11"/>
      <c r="C30" s="14"/>
      <c r="D30" s="14"/>
      <c r="E30" s="2"/>
      <c r="F30" s="2"/>
      <c r="G30" s="2"/>
    </row>
    <row r="31" spans="1:7" s="5" customFormat="1" ht="23.25" customHeight="1" x14ac:dyDescent="0.25">
      <c r="A31" s="17" t="s">
        <v>36</v>
      </c>
      <c r="B31" s="13" t="s">
        <v>33</v>
      </c>
      <c r="C31" s="21">
        <v>1.04</v>
      </c>
      <c r="D31" s="21"/>
      <c r="E31" s="2"/>
      <c r="F31" s="2"/>
      <c r="G31" s="2"/>
    </row>
    <row r="32" spans="1:7" s="5" customFormat="1" ht="23.25" customHeight="1" x14ac:dyDescent="0.25">
      <c r="A32" s="11"/>
      <c r="B32" s="13" t="s">
        <v>34</v>
      </c>
      <c r="C32" s="21">
        <v>1.0549999999999999</v>
      </c>
      <c r="D32" s="21"/>
      <c r="E32" s="2"/>
      <c r="F32" s="2"/>
      <c r="G32" s="2"/>
    </row>
    <row r="33" spans="1:7" s="5" customFormat="1" ht="15.75" x14ac:dyDescent="0.25">
      <c r="A33" s="11"/>
      <c r="B33" s="11"/>
      <c r="C33" s="22"/>
      <c r="D33" s="22"/>
      <c r="E33" s="2"/>
      <c r="F33" s="2"/>
      <c r="G33" s="2"/>
    </row>
    <row r="34" spans="1:7" ht="18.75" x14ac:dyDescent="0.3">
      <c r="A34" s="4"/>
      <c r="B34" s="4"/>
      <c r="C34" s="4"/>
      <c r="D34" s="4"/>
      <c r="E34" s="4"/>
      <c r="F34" s="4"/>
      <c r="G34" s="4"/>
    </row>
    <row r="35" spans="1:7" ht="18.75" x14ac:dyDescent="0.3">
      <c r="A35" s="4" t="s">
        <v>38</v>
      </c>
      <c r="B35" s="18"/>
      <c r="C35" s="18"/>
      <c r="D35" s="4" t="s">
        <v>39</v>
      </c>
      <c r="E35" s="4"/>
      <c r="F35" s="4"/>
      <c r="G35" s="4"/>
    </row>
  </sheetData>
  <mergeCells count="22">
    <mergeCell ref="C32:D32"/>
    <mergeCell ref="C33:D33"/>
    <mergeCell ref="A25:B25"/>
    <mergeCell ref="A1:G1"/>
    <mergeCell ref="A2:G2"/>
    <mergeCell ref="A3:G3"/>
    <mergeCell ref="A4:G4"/>
    <mergeCell ref="A7:G7"/>
    <mergeCell ref="A27:B27"/>
    <mergeCell ref="A28:B28"/>
    <mergeCell ref="A29:B29"/>
    <mergeCell ref="C13:C14"/>
    <mergeCell ref="C27:D27"/>
    <mergeCell ref="C28:D28"/>
    <mergeCell ref="C29:D29"/>
    <mergeCell ref="C31:D31"/>
    <mergeCell ref="G13:G14"/>
    <mergeCell ref="A13:A14"/>
    <mergeCell ref="B13:B14"/>
    <mergeCell ref="D13:D14"/>
    <mergeCell ref="E13:E14"/>
    <mergeCell ref="F13:F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3" workbookViewId="0">
      <selection activeCell="J22" sqref="J22"/>
    </sheetView>
  </sheetViews>
  <sheetFormatPr defaultRowHeight="15" x14ac:dyDescent="0.25"/>
  <cols>
    <col min="1" max="1" width="47.7109375" customWidth="1"/>
    <col min="2" max="3" width="17" customWidth="1"/>
    <col min="4" max="4" width="14.42578125" customWidth="1"/>
    <col min="5" max="5" width="17" customWidth="1"/>
    <col min="6" max="6" width="13.7109375" customWidth="1"/>
    <col min="7" max="7" width="17" customWidth="1"/>
    <col min="10" max="10" width="10.140625" bestFit="1" customWidth="1"/>
  </cols>
  <sheetData>
    <row r="1" spans="1:7" ht="28.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8.75" x14ac:dyDescent="0.3">
      <c r="A2" s="24" t="s">
        <v>1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12</v>
      </c>
      <c r="B3" s="24"/>
      <c r="C3" s="24"/>
      <c r="D3" s="24"/>
      <c r="E3" s="24"/>
      <c r="F3" s="24"/>
      <c r="G3" s="24"/>
    </row>
    <row r="4" spans="1:7" ht="62.25" customHeight="1" x14ac:dyDescent="0.25">
      <c r="A4" s="25" t="s">
        <v>40</v>
      </c>
      <c r="B4" s="23"/>
      <c r="C4" s="23"/>
      <c r="D4" s="23"/>
      <c r="E4" s="23"/>
      <c r="F4" s="23"/>
      <c r="G4" s="23"/>
    </row>
    <row r="5" spans="1:7" ht="18.75" x14ac:dyDescent="0.3">
      <c r="A5" s="3"/>
      <c r="B5" s="4"/>
      <c r="C5" s="4"/>
      <c r="D5" s="4"/>
      <c r="E5" s="4"/>
      <c r="F5" s="4"/>
      <c r="G5" s="4"/>
    </row>
    <row r="6" spans="1:7" ht="18.75" x14ac:dyDescent="0.3">
      <c r="A6" s="3" t="s">
        <v>2</v>
      </c>
      <c r="B6" s="4"/>
      <c r="C6" s="4"/>
      <c r="D6" s="4"/>
      <c r="E6" s="4"/>
      <c r="F6" s="4"/>
      <c r="G6" s="4"/>
    </row>
    <row r="7" spans="1:7" ht="45.75" customHeight="1" x14ac:dyDescent="0.25">
      <c r="A7" s="26" t="s">
        <v>20</v>
      </c>
      <c r="B7" s="26"/>
      <c r="C7" s="26"/>
      <c r="D7" s="26"/>
      <c r="E7" s="26"/>
      <c r="F7" s="26"/>
      <c r="G7" s="26"/>
    </row>
    <row r="8" spans="1:7" ht="18.75" x14ac:dyDescent="0.3">
      <c r="A8" s="3" t="s">
        <v>3</v>
      </c>
      <c r="B8" s="4"/>
      <c r="C8" s="4"/>
      <c r="D8" s="4"/>
      <c r="E8" s="4"/>
      <c r="F8" s="4"/>
      <c r="G8" s="4"/>
    </row>
    <row r="9" spans="1:7" ht="18.75" x14ac:dyDescent="0.3">
      <c r="A9" s="3" t="s">
        <v>21</v>
      </c>
      <c r="B9" s="4"/>
      <c r="C9" s="4"/>
      <c r="D9" s="4"/>
      <c r="E9" s="4"/>
      <c r="F9" s="4"/>
      <c r="G9" s="4"/>
    </row>
    <row r="10" spans="1:7" ht="18.75" x14ac:dyDescent="0.3">
      <c r="B10" s="4"/>
      <c r="C10" s="4"/>
      <c r="D10" s="4"/>
      <c r="E10" s="4"/>
      <c r="F10" s="4"/>
      <c r="G10" s="4"/>
    </row>
    <row r="11" spans="1:7" ht="15.75" x14ac:dyDescent="0.25">
      <c r="A11" s="1" t="s">
        <v>22</v>
      </c>
      <c r="B11" s="9" t="s">
        <v>23</v>
      </c>
      <c r="C11" s="9" t="s">
        <v>24</v>
      </c>
      <c r="D11" s="8"/>
      <c r="E11" s="8"/>
      <c r="F11" s="8"/>
      <c r="G11" s="19" t="s">
        <v>4</v>
      </c>
    </row>
    <row r="12" spans="1:7" s="5" customFormat="1" ht="171.75" customHeight="1" x14ac:dyDescent="0.25">
      <c r="A12" s="7" t="s">
        <v>5</v>
      </c>
      <c r="B12" s="7" t="s">
        <v>10</v>
      </c>
      <c r="C12" s="7" t="s">
        <v>14</v>
      </c>
      <c r="D12" s="7" t="s">
        <v>6</v>
      </c>
      <c r="E12" s="7" t="s">
        <v>11</v>
      </c>
      <c r="F12" s="7" t="s">
        <v>6</v>
      </c>
      <c r="G12" s="7" t="s">
        <v>7</v>
      </c>
    </row>
    <row r="13" spans="1:7" s="5" customFormat="1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</row>
    <row r="14" spans="1:7" s="5" customFormat="1" ht="15.75" x14ac:dyDescent="0.25">
      <c r="A14" s="20"/>
      <c r="B14" s="20"/>
      <c r="C14" s="20"/>
      <c r="D14" s="20"/>
      <c r="E14" s="20"/>
      <c r="F14" s="20"/>
      <c r="G14" s="20"/>
    </row>
    <row r="15" spans="1:7" s="5" customFormat="1" ht="15.75" x14ac:dyDescent="0.25">
      <c r="A15" s="6" t="s">
        <v>13</v>
      </c>
      <c r="B15" s="10">
        <f>16*1000</f>
        <v>16000</v>
      </c>
      <c r="C15" s="10">
        <f>153.61*1000</f>
        <v>153610</v>
      </c>
      <c r="D15" s="6">
        <v>1.04</v>
      </c>
      <c r="E15" s="6">
        <f>C15*D15</f>
        <v>159754.4</v>
      </c>
      <c r="F15" s="6">
        <v>1.0549999999999999</v>
      </c>
      <c r="G15" s="6">
        <f>E15*F15</f>
        <v>168540.89199999999</v>
      </c>
    </row>
    <row r="16" spans="1:7" s="5" customFormat="1" ht="15.75" x14ac:dyDescent="0.25">
      <c r="A16" s="6" t="s">
        <v>15</v>
      </c>
      <c r="B16" s="10">
        <f>951.47*1000</f>
        <v>951470</v>
      </c>
      <c r="C16" s="10">
        <f>9134.12*1000</f>
        <v>9134120</v>
      </c>
      <c r="D16" s="6">
        <v>1.04</v>
      </c>
      <c r="E16" s="6">
        <f t="shared" ref="E16:E20" si="0">C16*D16</f>
        <v>9499484.8000000007</v>
      </c>
      <c r="F16" s="6">
        <v>1.0549999999999999</v>
      </c>
      <c r="G16" s="6">
        <f t="shared" ref="G16:G20" si="1">E16*F16</f>
        <v>10021956.464</v>
      </c>
    </row>
    <row r="17" spans="1:7" s="5" customFormat="1" ht="15.75" x14ac:dyDescent="0.25">
      <c r="A17" s="6" t="s">
        <v>16</v>
      </c>
      <c r="B17" s="10">
        <f>13.54*1000</f>
        <v>13540</v>
      </c>
      <c r="C17" s="10">
        <f>130.03*1000</f>
        <v>130030</v>
      </c>
      <c r="D17" s="6">
        <v>1.04</v>
      </c>
      <c r="E17" s="6">
        <f t="shared" si="0"/>
        <v>135231.20000000001</v>
      </c>
      <c r="F17" s="6">
        <v>1.0549999999999999</v>
      </c>
      <c r="G17" s="6">
        <f t="shared" si="1"/>
        <v>142668.916</v>
      </c>
    </row>
    <row r="18" spans="1:7" s="5" customFormat="1" ht="31.5" x14ac:dyDescent="0.25">
      <c r="A18" s="6" t="s">
        <v>17</v>
      </c>
      <c r="B18" s="10">
        <f>20.99*1000</f>
        <v>20990</v>
      </c>
      <c r="C18" s="10">
        <f>201.54*1000</f>
        <v>201540</v>
      </c>
      <c r="D18" s="6">
        <v>1.04</v>
      </c>
      <c r="E18" s="6">
        <f t="shared" si="0"/>
        <v>209601.6</v>
      </c>
      <c r="F18" s="6">
        <v>1.0549999999999999</v>
      </c>
      <c r="G18" s="6">
        <f t="shared" si="1"/>
        <v>221129.68799999999</v>
      </c>
    </row>
    <row r="19" spans="1:7" s="5" customFormat="1" ht="220.5" x14ac:dyDescent="0.25">
      <c r="A19" s="6" t="s">
        <v>18</v>
      </c>
      <c r="B19" s="10">
        <f>7.02*1000</f>
        <v>7020</v>
      </c>
      <c r="C19" s="10">
        <f>36.1*1000</f>
        <v>36100</v>
      </c>
      <c r="D19" s="6">
        <v>1.04</v>
      </c>
      <c r="E19" s="6">
        <f t="shared" si="0"/>
        <v>37544</v>
      </c>
      <c r="F19" s="6">
        <v>1.0549999999999999</v>
      </c>
      <c r="G19" s="6">
        <f t="shared" si="1"/>
        <v>39608.92</v>
      </c>
    </row>
    <row r="20" spans="1:7" s="5" customFormat="1" ht="15.75" x14ac:dyDescent="0.25">
      <c r="A20" s="6" t="s">
        <v>19</v>
      </c>
      <c r="B20" s="10">
        <f>20.18*1000</f>
        <v>20180</v>
      </c>
      <c r="C20" s="10">
        <f>193.11*1000</f>
        <v>193110</v>
      </c>
      <c r="D20" s="6">
        <v>1.04</v>
      </c>
      <c r="E20" s="6">
        <f t="shared" si="0"/>
        <v>200834.4</v>
      </c>
      <c r="F20" s="6">
        <v>1.0549999999999999</v>
      </c>
      <c r="G20" s="6">
        <f t="shared" si="1"/>
        <v>211880.29199999999</v>
      </c>
    </row>
    <row r="21" spans="1:7" s="5" customFormat="1" ht="15.75" x14ac:dyDescent="0.25">
      <c r="A21" s="6" t="s">
        <v>8</v>
      </c>
      <c r="B21" s="10">
        <f>SUM(B15:B20)</f>
        <v>1029200</v>
      </c>
      <c r="C21" s="10">
        <f>SUM(C15:C20)</f>
        <v>9848510</v>
      </c>
      <c r="D21" s="6"/>
      <c r="E21" s="10">
        <f>SUM(E15:E20)</f>
        <v>10242450.4</v>
      </c>
      <c r="F21" s="6"/>
      <c r="G21" s="10">
        <f>SUM(G15:G20)</f>
        <v>10805785.171999997</v>
      </c>
    </row>
    <row r="22" spans="1:7" s="5" customFormat="1" ht="15.75" x14ac:dyDescent="0.25">
      <c r="A22" s="6" t="s">
        <v>25</v>
      </c>
      <c r="B22" s="10">
        <f>B21*20/100</f>
        <v>205840</v>
      </c>
      <c r="C22" s="10">
        <f>C21*20/100-7222</f>
        <v>1962480</v>
      </c>
      <c r="D22" s="6"/>
      <c r="E22" s="10">
        <f>E21*20/100</f>
        <v>2048490.08</v>
      </c>
      <c r="F22" s="6"/>
      <c r="G22" s="10">
        <f>G21*20/100</f>
        <v>2161157.0343999993</v>
      </c>
    </row>
    <row r="23" spans="1:7" s="5" customFormat="1" ht="15.75" x14ac:dyDescent="0.25">
      <c r="A23" s="6" t="s">
        <v>9</v>
      </c>
      <c r="B23" s="10">
        <f>SUM(B21:B22)</f>
        <v>1235040</v>
      </c>
      <c r="C23" s="10">
        <f>SUM(C21:C22)</f>
        <v>11810990</v>
      </c>
      <c r="D23" s="6"/>
      <c r="E23" s="10">
        <f>SUM(E21:E22)</f>
        <v>12290940.48</v>
      </c>
      <c r="F23" s="6"/>
      <c r="G23" s="10">
        <f>SUM(G21:G22)</f>
        <v>12966942.206399996</v>
      </c>
    </row>
    <row r="24" spans="1:7" s="5" customFormat="1" ht="15.75" x14ac:dyDescent="0.25">
      <c r="A24" s="11"/>
      <c r="B24" s="12"/>
      <c r="C24" s="12"/>
      <c r="D24" s="11"/>
      <c r="E24" s="12"/>
      <c r="F24" s="11"/>
      <c r="G24" s="12"/>
    </row>
    <row r="25" spans="1:7" s="5" customFormat="1" ht="23.25" customHeight="1" x14ac:dyDescent="0.25">
      <c r="A25" s="21" t="s">
        <v>32</v>
      </c>
      <c r="B25" s="21"/>
      <c r="C25" s="15">
        <v>43831</v>
      </c>
      <c r="D25" s="11"/>
      <c r="E25" s="12"/>
      <c r="F25" s="11"/>
      <c r="G25" s="12"/>
    </row>
    <row r="26" spans="1:7" s="5" customFormat="1" ht="23.25" customHeight="1" x14ac:dyDescent="0.25">
      <c r="A26" s="14" t="s">
        <v>35</v>
      </c>
      <c r="B26" s="14"/>
      <c r="C26" s="16">
        <v>44652</v>
      </c>
      <c r="D26" s="11"/>
      <c r="E26" s="12"/>
      <c r="F26" s="11"/>
      <c r="G26" s="12"/>
    </row>
    <row r="27" spans="1:7" s="5" customFormat="1" ht="23.25" customHeight="1" x14ac:dyDescent="0.25">
      <c r="A27" s="27" t="s">
        <v>27</v>
      </c>
      <c r="B27" s="27"/>
      <c r="C27" s="21" t="s">
        <v>28</v>
      </c>
      <c r="D27" s="21"/>
      <c r="E27" s="2"/>
      <c r="F27" s="2"/>
      <c r="G27" s="2"/>
    </row>
    <row r="28" spans="1:7" s="5" customFormat="1" ht="23.25" customHeight="1" x14ac:dyDescent="0.25">
      <c r="A28" s="27" t="s">
        <v>29</v>
      </c>
      <c r="B28" s="27"/>
      <c r="C28" s="21" t="s">
        <v>30</v>
      </c>
      <c r="D28" s="21"/>
      <c r="E28" s="2"/>
      <c r="F28" s="2"/>
      <c r="G28" s="2"/>
    </row>
    <row r="29" spans="1:7" s="5" customFormat="1" ht="23.25" customHeight="1" x14ac:dyDescent="0.25">
      <c r="A29" s="27" t="s">
        <v>31</v>
      </c>
      <c r="B29" s="27"/>
      <c r="C29" s="21" t="s">
        <v>30</v>
      </c>
      <c r="D29" s="21"/>
      <c r="E29" s="2"/>
      <c r="F29" s="2"/>
      <c r="G29" s="2"/>
    </row>
    <row r="30" spans="1:7" s="5" customFormat="1" ht="23.25" customHeight="1" x14ac:dyDescent="0.25">
      <c r="A30" s="11" t="s">
        <v>37</v>
      </c>
      <c r="B30" s="11"/>
      <c r="C30" s="14"/>
      <c r="D30" s="14"/>
      <c r="E30" s="2"/>
      <c r="F30" s="2"/>
      <c r="G30" s="2"/>
    </row>
    <row r="31" spans="1:7" s="5" customFormat="1" ht="23.25" customHeight="1" x14ac:dyDescent="0.25">
      <c r="A31" s="17" t="s">
        <v>36</v>
      </c>
      <c r="B31" s="13" t="s">
        <v>33</v>
      </c>
      <c r="C31" s="21">
        <v>1.04</v>
      </c>
      <c r="D31" s="21"/>
      <c r="E31" s="2"/>
      <c r="F31" s="2"/>
      <c r="G31" s="2"/>
    </row>
    <row r="32" spans="1:7" s="5" customFormat="1" ht="23.25" customHeight="1" x14ac:dyDescent="0.25">
      <c r="A32" s="11"/>
      <c r="B32" s="13" t="s">
        <v>34</v>
      </c>
      <c r="C32" s="21">
        <v>1.0549999999999999</v>
      </c>
      <c r="D32" s="21"/>
      <c r="E32" s="2"/>
      <c r="F32" s="2"/>
      <c r="G32" s="2"/>
    </row>
    <row r="33" spans="1:7" s="5" customFormat="1" ht="15.75" x14ac:dyDescent="0.25">
      <c r="A33" s="11"/>
      <c r="B33" s="11"/>
      <c r="C33" s="22"/>
      <c r="D33" s="22"/>
      <c r="E33" s="2"/>
      <c r="F33" s="2"/>
      <c r="G33" s="2"/>
    </row>
    <row r="34" spans="1:7" ht="18.75" x14ac:dyDescent="0.3">
      <c r="A34" s="4"/>
      <c r="B34" s="4"/>
      <c r="C34" s="4"/>
      <c r="D34" s="4"/>
      <c r="E34" s="4"/>
      <c r="F34" s="4"/>
      <c r="G34" s="4"/>
    </row>
    <row r="35" spans="1:7" ht="18.75" x14ac:dyDescent="0.3">
      <c r="A35" s="4" t="s">
        <v>38</v>
      </c>
      <c r="B35" s="18"/>
      <c r="C35" s="18"/>
      <c r="D35" s="4" t="s">
        <v>39</v>
      </c>
      <c r="E35" s="4"/>
      <c r="F35" s="4"/>
      <c r="G35" s="4"/>
    </row>
  </sheetData>
  <mergeCells count="22">
    <mergeCell ref="C33:D33"/>
    <mergeCell ref="C27:D27"/>
    <mergeCell ref="A29:B29"/>
    <mergeCell ref="C29:D29"/>
    <mergeCell ref="C31:D31"/>
    <mergeCell ref="C32:D32"/>
    <mergeCell ref="A28:B28"/>
    <mergeCell ref="C28:D28"/>
    <mergeCell ref="A1:G1"/>
    <mergeCell ref="A2:G2"/>
    <mergeCell ref="A3:G3"/>
    <mergeCell ref="A4:G4"/>
    <mergeCell ref="A7:G7"/>
    <mergeCell ref="A13:A14"/>
    <mergeCell ref="B13:B14"/>
    <mergeCell ref="C13:C14"/>
    <mergeCell ref="D13:D14"/>
    <mergeCell ref="E13:E14"/>
    <mergeCell ref="F13:F14"/>
    <mergeCell ref="G13:G14"/>
    <mergeCell ref="A25:B25"/>
    <mergeCell ref="A27:B27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J22" sqref="J22"/>
    </sheetView>
  </sheetViews>
  <sheetFormatPr defaultRowHeight="15" x14ac:dyDescent="0.25"/>
  <cols>
    <col min="1" max="1" width="47.7109375" customWidth="1"/>
    <col min="2" max="3" width="17" customWidth="1"/>
    <col min="4" max="4" width="14.42578125" customWidth="1"/>
    <col min="5" max="5" width="17" customWidth="1"/>
    <col min="6" max="6" width="13.7109375" customWidth="1"/>
    <col min="7" max="7" width="17" customWidth="1"/>
    <col min="10" max="10" width="10.140625" bestFit="1" customWidth="1"/>
  </cols>
  <sheetData>
    <row r="1" spans="1:7" ht="28.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ht="18.75" x14ac:dyDescent="0.3">
      <c r="A2" s="24" t="s">
        <v>1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12</v>
      </c>
      <c r="B3" s="24"/>
      <c r="C3" s="24"/>
      <c r="D3" s="24"/>
      <c r="E3" s="24"/>
      <c r="F3" s="24"/>
      <c r="G3" s="24"/>
    </row>
    <row r="4" spans="1:7" ht="62.25" customHeight="1" x14ac:dyDescent="0.25">
      <c r="A4" s="25" t="s">
        <v>41</v>
      </c>
      <c r="B4" s="23"/>
      <c r="C4" s="23"/>
      <c r="D4" s="23"/>
      <c r="E4" s="23"/>
      <c r="F4" s="23"/>
      <c r="G4" s="23"/>
    </row>
    <row r="5" spans="1:7" ht="18.75" x14ac:dyDescent="0.3">
      <c r="A5" s="3"/>
      <c r="B5" s="4"/>
      <c r="C5" s="4"/>
      <c r="D5" s="4"/>
      <c r="E5" s="4"/>
      <c r="F5" s="4"/>
      <c r="G5" s="4"/>
    </row>
    <row r="6" spans="1:7" ht="18.75" x14ac:dyDescent="0.3">
      <c r="A6" s="3" t="s">
        <v>2</v>
      </c>
      <c r="B6" s="4"/>
      <c r="C6" s="4"/>
      <c r="D6" s="4"/>
      <c r="E6" s="4"/>
      <c r="F6" s="4"/>
      <c r="G6" s="4"/>
    </row>
    <row r="7" spans="1:7" ht="45.75" customHeight="1" x14ac:dyDescent="0.25">
      <c r="A7" s="26" t="s">
        <v>20</v>
      </c>
      <c r="B7" s="26"/>
      <c r="C7" s="26"/>
      <c r="D7" s="26"/>
      <c r="E7" s="26"/>
      <c r="F7" s="26"/>
      <c r="G7" s="26"/>
    </row>
    <row r="8" spans="1:7" ht="18.75" x14ac:dyDescent="0.3">
      <c r="A8" s="3" t="s">
        <v>3</v>
      </c>
      <c r="B8" s="4"/>
      <c r="C8" s="4"/>
      <c r="D8" s="4"/>
      <c r="E8" s="4"/>
      <c r="F8" s="4"/>
      <c r="G8" s="4"/>
    </row>
    <row r="9" spans="1:7" ht="18.75" x14ac:dyDescent="0.3">
      <c r="A9" s="3" t="s">
        <v>21</v>
      </c>
      <c r="B9" s="4"/>
      <c r="C9" s="4"/>
      <c r="D9" s="4"/>
      <c r="E9" s="4"/>
      <c r="F9" s="4"/>
      <c r="G9" s="4"/>
    </row>
    <row r="10" spans="1:7" ht="18.75" x14ac:dyDescent="0.3">
      <c r="B10" s="4"/>
      <c r="C10" s="4"/>
      <c r="D10" s="4"/>
      <c r="E10" s="4"/>
      <c r="F10" s="4"/>
      <c r="G10" s="4"/>
    </row>
    <row r="11" spans="1:7" ht="15.75" x14ac:dyDescent="0.25">
      <c r="A11" s="1" t="s">
        <v>22</v>
      </c>
      <c r="B11" s="9" t="s">
        <v>23</v>
      </c>
      <c r="C11" s="9" t="s">
        <v>24</v>
      </c>
      <c r="D11" s="8"/>
      <c r="E11" s="8"/>
      <c r="F11" s="8"/>
      <c r="G11" s="19" t="s">
        <v>4</v>
      </c>
    </row>
    <row r="12" spans="1:7" s="5" customFormat="1" ht="171.75" customHeight="1" x14ac:dyDescent="0.25">
      <c r="A12" s="7" t="s">
        <v>5</v>
      </c>
      <c r="B12" s="7" t="s">
        <v>10</v>
      </c>
      <c r="C12" s="7" t="s">
        <v>14</v>
      </c>
      <c r="D12" s="7" t="s">
        <v>6</v>
      </c>
      <c r="E12" s="7" t="s">
        <v>11</v>
      </c>
      <c r="F12" s="7" t="s">
        <v>6</v>
      </c>
      <c r="G12" s="7" t="s">
        <v>7</v>
      </c>
    </row>
    <row r="13" spans="1:7" s="5" customFormat="1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</row>
    <row r="14" spans="1:7" s="5" customFormat="1" ht="15.75" x14ac:dyDescent="0.25">
      <c r="A14" s="20"/>
      <c r="B14" s="20"/>
      <c r="C14" s="20"/>
      <c r="D14" s="20"/>
      <c r="E14" s="20"/>
      <c r="F14" s="20"/>
      <c r="G14" s="20"/>
    </row>
    <row r="15" spans="1:7" s="5" customFormat="1" ht="15.75" x14ac:dyDescent="0.25">
      <c r="A15" s="6" t="s">
        <v>13</v>
      </c>
      <c r="B15" s="10">
        <f>42.05*1000</f>
        <v>42050</v>
      </c>
      <c r="C15" s="10">
        <f>403.67*1000</f>
        <v>403670</v>
      </c>
      <c r="D15" s="6">
        <v>1.04</v>
      </c>
      <c r="E15" s="6">
        <f>C15*D15</f>
        <v>419816.8</v>
      </c>
      <c r="F15" s="6">
        <v>1.0549999999999999</v>
      </c>
      <c r="G15" s="6">
        <f>E15*F15</f>
        <v>442906.72399999999</v>
      </c>
    </row>
    <row r="16" spans="1:7" s="5" customFormat="1" ht="15.75" x14ac:dyDescent="0.25">
      <c r="A16" s="6" t="s">
        <v>15</v>
      </c>
      <c r="B16" s="10">
        <f>5268.01*1000</f>
        <v>5268010</v>
      </c>
      <c r="C16" s="10">
        <f>50169.23*1000</f>
        <v>50169230</v>
      </c>
      <c r="D16" s="6">
        <v>1.04</v>
      </c>
      <c r="E16" s="6">
        <f t="shared" ref="E16:E20" si="0">C16*D16</f>
        <v>52175999.200000003</v>
      </c>
      <c r="F16" s="6">
        <v>1.0549999999999999</v>
      </c>
      <c r="G16" s="6">
        <f t="shared" ref="G16:G20" si="1">E16*F16</f>
        <v>55045679.156000003</v>
      </c>
    </row>
    <row r="17" spans="1:7" s="5" customFormat="1" ht="15.75" x14ac:dyDescent="0.25">
      <c r="A17" s="6" t="s">
        <v>16</v>
      </c>
      <c r="B17" s="10">
        <f>73.75*1000</f>
        <v>73750</v>
      </c>
      <c r="C17" s="10">
        <f>708.02*1000</f>
        <v>708020</v>
      </c>
      <c r="D17" s="6">
        <v>1.04</v>
      </c>
      <c r="E17" s="6">
        <f t="shared" si="0"/>
        <v>736340.8</v>
      </c>
      <c r="F17" s="6">
        <v>1.0549999999999999</v>
      </c>
      <c r="G17" s="6">
        <f t="shared" si="1"/>
        <v>776839.54399999999</v>
      </c>
    </row>
    <row r="18" spans="1:7" s="5" customFormat="1" ht="31.5" x14ac:dyDescent="0.25">
      <c r="A18" s="6" t="s">
        <v>17</v>
      </c>
      <c r="B18" s="10">
        <f>114.31*1000</f>
        <v>114310</v>
      </c>
      <c r="C18" s="10">
        <f>1097.41*1000</f>
        <v>1097410</v>
      </c>
      <c r="D18" s="6">
        <v>1.04</v>
      </c>
      <c r="E18" s="6">
        <f t="shared" si="0"/>
        <v>1141306.4000000001</v>
      </c>
      <c r="F18" s="6">
        <v>1.0549999999999999</v>
      </c>
      <c r="G18" s="6">
        <f t="shared" si="1"/>
        <v>1204078.2520000001</v>
      </c>
    </row>
    <row r="19" spans="1:7" s="5" customFormat="1" ht="220.5" x14ac:dyDescent="0.25">
      <c r="A19" s="6" t="s">
        <v>18</v>
      </c>
      <c r="B19" s="10">
        <f>18.25*1000</f>
        <v>18250</v>
      </c>
      <c r="C19" s="10">
        <f>93.8*1000</f>
        <v>93800</v>
      </c>
      <c r="D19" s="6">
        <v>1.04</v>
      </c>
      <c r="E19" s="6">
        <f t="shared" si="0"/>
        <v>97552</v>
      </c>
      <c r="F19" s="6">
        <v>1.0549999999999999</v>
      </c>
      <c r="G19" s="6">
        <f t="shared" si="1"/>
        <v>102917.36</v>
      </c>
    </row>
    <row r="20" spans="1:7" s="5" customFormat="1" ht="15.75" x14ac:dyDescent="0.25">
      <c r="A20" s="6" t="s">
        <v>19</v>
      </c>
      <c r="B20" s="10">
        <f>109.49*1000</f>
        <v>109490</v>
      </c>
      <c r="C20" s="10">
        <f>1049.44*1000</f>
        <v>1049440</v>
      </c>
      <c r="D20" s="6">
        <v>1.04</v>
      </c>
      <c r="E20" s="6">
        <f t="shared" si="0"/>
        <v>1091417.6000000001</v>
      </c>
      <c r="F20" s="6">
        <v>1.0549999999999999</v>
      </c>
      <c r="G20" s="6">
        <f t="shared" si="1"/>
        <v>1151445.568</v>
      </c>
    </row>
    <row r="21" spans="1:7" s="5" customFormat="1" ht="15.75" x14ac:dyDescent="0.25">
      <c r="A21" s="6" t="s">
        <v>8</v>
      </c>
      <c r="B21" s="10">
        <f>SUM(B15:B20)</f>
        <v>5625860</v>
      </c>
      <c r="C21" s="10">
        <f>SUM(C15:C20)</f>
        <v>53521570</v>
      </c>
      <c r="D21" s="6"/>
      <c r="E21" s="10">
        <f>SUM(E15:E20)</f>
        <v>55662432.799999997</v>
      </c>
      <c r="F21" s="6"/>
      <c r="G21" s="10">
        <f>SUM(G15:G20)</f>
        <v>58723866.604000002</v>
      </c>
    </row>
    <row r="22" spans="1:7" s="5" customFormat="1" ht="15.75" x14ac:dyDescent="0.25">
      <c r="A22" s="6" t="s">
        <v>25</v>
      </c>
      <c r="B22" s="10">
        <f>B21*20/100</f>
        <v>1125172</v>
      </c>
      <c r="C22" s="10">
        <f>C21*20/100-18754</f>
        <v>10685560</v>
      </c>
      <c r="D22" s="6"/>
      <c r="E22" s="10">
        <f>E21*20/100</f>
        <v>11132486.560000001</v>
      </c>
      <c r="F22" s="6"/>
      <c r="G22" s="10">
        <f>G21*20/100</f>
        <v>11744773.320799999</v>
      </c>
    </row>
    <row r="23" spans="1:7" s="5" customFormat="1" ht="15.75" x14ac:dyDescent="0.25">
      <c r="A23" s="6" t="s">
        <v>9</v>
      </c>
      <c r="B23" s="10">
        <f>SUM(B21:B22)</f>
        <v>6751032</v>
      </c>
      <c r="C23" s="10">
        <f>SUM(C21:C22)</f>
        <v>64207130</v>
      </c>
      <c r="D23" s="6"/>
      <c r="E23" s="10">
        <f>SUM(E21:E22)</f>
        <v>66794919.359999999</v>
      </c>
      <c r="F23" s="6"/>
      <c r="G23" s="10">
        <f>SUM(G21:G22)</f>
        <v>70468639.924800009</v>
      </c>
    </row>
    <row r="24" spans="1:7" s="5" customFormat="1" ht="15.75" x14ac:dyDescent="0.25">
      <c r="A24" s="11"/>
      <c r="B24" s="12"/>
      <c r="C24" s="12"/>
      <c r="D24" s="11"/>
      <c r="E24" s="12"/>
      <c r="F24" s="11"/>
      <c r="G24" s="12"/>
    </row>
    <row r="25" spans="1:7" s="5" customFormat="1" ht="23.25" customHeight="1" x14ac:dyDescent="0.25">
      <c r="A25" s="21" t="s">
        <v>32</v>
      </c>
      <c r="B25" s="21"/>
      <c r="C25" s="15">
        <v>43831</v>
      </c>
      <c r="D25" s="11"/>
      <c r="E25" s="12"/>
      <c r="F25" s="11"/>
      <c r="G25" s="12"/>
    </row>
    <row r="26" spans="1:7" s="5" customFormat="1" ht="23.25" customHeight="1" x14ac:dyDescent="0.25">
      <c r="A26" s="14" t="s">
        <v>35</v>
      </c>
      <c r="B26" s="14"/>
      <c r="C26" s="16">
        <v>44652</v>
      </c>
      <c r="D26" s="11"/>
      <c r="E26" s="12"/>
      <c r="F26" s="11"/>
      <c r="G26" s="12"/>
    </row>
    <row r="27" spans="1:7" s="5" customFormat="1" ht="23.25" customHeight="1" x14ac:dyDescent="0.25">
      <c r="A27" s="27" t="s">
        <v>27</v>
      </c>
      <c r="B27" s="27"/>
      <c r="C27" s="21" t="s">
        <v>28</v>
      </c>
      <c r="D27" s="21"/>
      <c r="E27" s="2"/>
      <c r="F27" s="2"/>
      <c r="G27" s="2"/>
    </row>
    <row r="28" spans="1:7" s="5" customFormat="1" ht="23.25" customHeight="1" x14ac:dyDescent="0.25">
      <c r="A28" s="27" t="s">
        <v>29</v>
      </c>
      <c r="B28" s="27"/>
      <c r="C28" s="21" t="s">
        <v>30</v>
      </c>
      <c r="D28" s="21"/>
      <c r="E28" s="2"/>
      <c r="F28" s="2"/>
      <c r="G28" s="2"/>
    </row>
    <row r="29" spans="1:7" s="5" customFormat="1" ht="23.25" customHeight="1" x14ac:dyDescent="0.25">
      <c r="A29" s="27" t="s">
        <v>31</v>
      </c>
      <c r="B29" s="27"/>
      <c r="C29" s="21" t="s">
        <v>30</v>
      </c>
      <c r="D29" s="21"/>
      <c r="E29" s="2"/>
      <c r="F29" s="2"/>
      <c r="G29" s="2"/>
    </row>
    <row r="30" spans="1:7" s="5" customFormat="1" ht="23.25" customHeight="1" x14ac:dyDescent="0.25">
      <c r="A30" s="11" t="s">
        <v>37</v>
      </c>
      <c r="B30" s="11"/>
      <c r="C30" s="14"/>
      <c r="D30" s="14"/>
      <c r="E30" s="2"/>
      <c r="F30" s="2"/>
      <c r="G30" s="2"/>
    </row>
    <row r="31" spans="1:7" s="5" customFormat="1" ht="23.25" customHeight="1" x14ac:dyDescent="0.25">
      <c r="A31" s="17" t="s">
        <v>36</v>
      </c>
      <c r="B31" s="13" t="s">
        <v>33</v>
      </c>
      <c r="C31" s="21">
        <v>1.04</v>
      </c>
      <c r="D31" s="21"/>
      <c r="E31" s="2"/>
      <c r="F31" s="2"/>
      <c r="G31" s="2"/>
    </row>
    <row r="32" spans="1:7" s="5" customFormat="1" ht="23.25" customHeight="1" x14ac:dyDescent="0.25">
      <c r="A32" s="11"/>
      <c r="B32" s="13" t="s">
        <v>34</v>
      </c>
      <c r="C32" s="21">
        <v>1.0549999999999999</v>
      </c>
      <c r="D32" s="21"/>
      <c r="E32" s="2"/>
      <c r="F32" s="2"/>
      <c r="G32" s="2"/>
    </row>
    <row r="33" spans="1:7" s="5" customFormat="1" ht="15.75" x14ac:dyDescent="0.25">
      <c r="A33" s="11"/>
      <c r="B33" s="11"/>
      <c r="C33" s="22"/>
      <c r="D33" s="22"/>
      <c r="E33" s="2"/>
      <c r="F33" s="2"/>
      <c r="G33" s="2"/>
    </row>
    <row r="34" spans="1:7" ht="18.75" x14ac:dyDescent="0.3">
      <c r="A34" s="4"/>
      <c r="B34" s="4"/>
      <c r="C34" s="4"/>
      <c r="D34" s="4"/>
      <c r="E34" s="4"/>
      <c r="F34" s="4"/>
      <c r="G34" s="4"/>
    </row>
    <row r="35" spans="1:7" ht="18.75" x14ac:dyDescent="0.3">
      <c r="A35" s="4" t="s">
        <v>38</v>
      </c>
      <c r="B35" s="18"/>
      <c r="C35" s="18"/>
      <c r="D35" s="4" t="s">
        <v>39</v>
      </c>
      <c r="E35" s="4"/>
      <c r="F35" s="4"/>
      <c r="G35" s="4"/>
    </row>
  </sheetData>
  <mergeCells count="22">
    <mergeCell ref="C33:D33"/>
    <mergeCell ref="C27:D27"/>
    <mergeCell ref="A29:B29"/>
    <mergeCell ref="C29:D29"/>
    <mergeCell ref="C31:D31"/>
    <mergeCell ref="C32:D32"/>
    <mergeCell ref="A28:B28"/>
    <mergeCell ref="C28:D28"/>
    <mergeCell ref="A1:G1"/>
    <mergeCell ref="A2:G2"/>
    <mergeCell ref="A3:G3"/>
    <mergeCell ref="A4:G4"/>
    <mergeCell ref="A7:G7"/>
    <mergeCell ref="A13:A14"/>
    <mergeCell ref="B13:B14"/>
    <mergeCell ref="C13:C14"/>
    <mergeCell ref="D13:D14"/>
    <mergeCell ref="E13:E14"/>
    <mergeCell ref="F13:F14"/>
    <mergeCell ref="G13:G14"/>
    <mergeCell ref="A25:B25"/>
    <mergeCell ref="A27:B2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Гагарина</vt:lpstr>
      <vt:lpstr>Егорова</vt:lpstr>
      <vt:lpstr>Советская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2022-05-16T09:28:28Z</cp:lastPrinted>
  <dcterms:created xsi:type="dcterms:W3CDTF">2022-05-12T03:40:21Z</dcterms:created>
  <dcterms:modified xsi:type="dcterms:W3CDTF">2022-05-16T09:28:58Z</dcterms:modified>
</cp:coreProperties>
</file>